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Burgess\Documents\RHA Treasuer\Annual Meeting\2020 Annual Meeting\"/>
    </mc:Choice>
  </mc:AlternateContent>
  <xr:revisionPtr revIDLastSave="0" documentId="8_{DECE3B98-CBCC-40F2-9291-05DDE5AF33EA}" xr6:coauthVersionLast="45" xr6:coauthVersionMax="45" xr10:uidLastSave="{00000000-0000-0000-0000-000000000000}"/>
  <bookViews>
    <workbookView xWindow="-110" yWindow="-110" windowWidth="19420" windowHeight="10420" activeTab="1" xr2:uid="{49860178-0E55-4BE7-8444-CF5ED384150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2" l="1"/>
  <c r="E102" i="1"/>
  <c r="C102" i="1"/>
  <c r="B102" i="1"/>
  <c r="D101" i="1"/>
  <c r="D102" i="1" s="1"/>
  <c r="I96" i="1"/>
  <c r="G96" i="1"/>
  <c r="C96" i="1"/>
  <c r="D95" i="1"/>
  <c r="B95" i="1"/>
  <c r="D94" i="1"/>
  <c r="B94" i="1"/>
  <c r="D93" i="1"/>
  <c r="B93" i="1"/>
  <c r="E91" i="1"/>
  <c r="E96" i="1" s="1"/>
  <c r="B91" i="1"/>
  <c r="B96" i="1" s="1"/>
  <c r="B87" i="1"/>
  <c r="D87" i="1" s="1"/>
  <c r="B85" i="1"/>
  <c r="B83" i="1"/>
  <c r="D83" i="1" s="1"/>
  <c r="D81" i="1"/>
  <c r="E79" i="1"/>
  <c r="B79" i="1"/>
  <c r="D79" i="1" s="1"/>
  <c r="I77" i="1"/>
  <c r="I98" i="1" s="1"/>
  <c r="G77" i="1"/>
  <c r="G98" i="1" s="1"/>
  <c r="D77" i="1"/>
  <c r="B77" i="1"/>
  <c r="E76" i="1"/>
  <c r="D76" i="1"/>
  <c r="E75" i="1"/>
  <c r="E77" i="1" s="1"/>
  <c r="D75" i="1"/>
  <c r="I72" i="1"/>
  <c r="G72" i="1"/>
  <c r="B72" i="1"/>
  <c r="E71" i="1"/>
  <c r="D71" i="1"/>
  <c r="B71" i="1"/>
  <c r="E70" i="1"/>
  <c r="D70" i="1"/>
  <c r="E69" i="1"/>
  <c r="E72" i="1" s="1"/>
  <c r="D69" i="1"/>
  <c r="D68" i="1"/>
  <c r="D72" i="1" s="1"/>
  <c r="B68" i="1"/>
  <c r="I66" i="1"/>
  <c r="G66" i="1"/>
  <c r="E66" i="1"/>
  <c r="C66" i="1"/>
  <c r="C98" i="1" s="1"/>
  <c r="D65" i="1"/>
  <c r="D64" i="1"/>
  <c r="D63" i="1"/>
  <c r="D62" i="1"/>
  <c r="D61" i="1"/>
  <c r="B61" i="1"/>
  <c r="B66" i="1" s="1"/>
  <c r="D60" i="1"/>
  <c r="E59" i="1"/>
  <c r="D59" i="1"/>
  <c r="D66" i="1" s="1"/>
  <c r="E57" i="1"/>
  <c r="D57" i="1"/>
  <c r="E55" i="1"/>
  <c r="D55" i="1"/>
  <c r="B55" i="1"/>
  <c r="I53" i="1"/>
  <c r="G53" i="1"/>
  <c r="E53" i="1"/>
  <c r="C53" i="1"/>
  <c r="E52" i="1"/>
  <c r="D52" i="1"/>
  <c r="E51" i="1"/>
  <c r="D51" i="1"/>
  <c r="E50" i="1"/>
  <c r="D50" i="1"/>
  <c r="E49" i="1"/>
  <c r="B49" i="1"/>
  <c r="B53" i="1" s="1"/>
  <c r="I46" i="1"/>
  <c r="G46" i="1"/>
  <c r="C46" i="1"/>
  <c r="B45" i="1"/>
  <c r="B46" i="1" s="1"/>
  <c r="E44" i="1"/>
  <c r="E46" i="1" s="1"/>
  <c r="D44" i="1"/>
  <c r="B44" i="1"/>
  <c r="I42" i="1"/>
  <c r="G42" i="1"/>
  <c r="C42" i="1"/>
  <c r="D41" i="1"/>
  <c r="B41" i="1"/>
  <c r="E40" i="1"/>
  <c r="D40" i="1"/>
  <c r="E39" i="1"/>
  <c r="D39" i="1"/>
  <c r="E38" i="1"/>
  <c r="B38" i="1"/>
  <c r="E37" i="1"/>
  <c r="E42" i="1" s="1"/>
  <c r="B37" i="1"/>
  <c r="B42" i="1" s="1"/>
  <c r="D36" i="1"/>
  <c r="I31" i="1"/>
  <c r="G31" i="1"/>
  <c r="E31" i="1"/>
  <c r="C31" i="1"/>
  <c r="D30" i="1"/>
  <c r="B30" i="1"/>
  <c r="D29" i="1"/>
  <c r="D31" i="1" s="1"/>
  <c r="B29" i="1"/>
  <c r="B31" i="1" s="1"/>
  <c r="I23" i="1"/>
  <c r="G23" i="1"/>
  <c r="G25" i="1" s="1"/>
  <c r="E23" i="1"/>
  <c r="C23" i="1"/>
  <c r="C25" i="1" s="1"/>
  <c r="B23" i="1"/>
  <c r="D22" i="1"/>
  <c r="D21" i="1"/>
  <c r="D20" i="1"/>
  <c r="D23" i="1" s="1"/>
  <c r="G16" i="1"/>
  <c r="C16" i="1"/>
  <c r="D15" i="1"/>
  <c r="E14" i="1"/>
  <c r="B14" i="1"/>
  <c r="D14" i="1" s="1"/>
  <c r="I13" i="1"/>
  <c r="I16" i="1" s="1"/>
  <c r="E13" i="1"/>
  <c r="E16" i="1" s="1"/>
  <c r="B13" i="1"/>
  <c r="D13" i="1" s="1"/>
  <c r="D16" i="1" s="1"/>
  <c r="I11" i="1"/>
  <c r="G11" i="1"/>
  <c r="G33" i="1" s="1"/>
  <c r="G103" i="1" s="1"/>
  <c r="C11" i="1"/>
  <c r="B11" i="1"/>
  <c r="E10" i="1"/>
  <c r="D10" i="1"/>
  <c r="B10" i="1"/>
  <c r="E9" i="1"/>
  <c r="E11" i="1" s="1"/>
  <c r="E33" i="1" s="1"/>
  <c r="B9" i="1"/>
  <c r="D9" i="1" s="1"/>
  <c r="D11" i="1" s="1"/>
  <c r="C33" i="1" l="1"/>
  <c r="C103" i="1" s="1"/>
  <c r="E25" i="1"/>
  <c r="D25" i="1"/>
  <c r="E88" i="1"/>
  <c r="D33" i="1"/>
  <c r="I33" i="1"/>
  <c r="I103" i="1" s="1"/>
  <c r="I25" i="1"/>
  <c r="B88" i="1"/>
  <c r="G88" i="1"/>
  <c r="G105" i="1" s="1"/>
  <c r="D37" i="1"/>
  <c r="D42" i="1" s="1"/>
  <c r="D88" i="1" s="1"/>
  <c r="D45" i="1"/>
  <c r="D46" i="1" s="1"/>
  <c r="D49" i="1"/>
  <c r="D53" i="1" s="1"/>
  <c r="D85" i="1"/>
  <c r="D98" i="1" s="1"/>
  <c r="C88" i="1"/>
  <c r="C105" i="1" s="1"/>
  <c r="I88" i="1"/>
  <c r="B98" i="1"/>
  <c r="E98" i="1"/>
  <c r="E103" i="1" s="1"/>
  <c r="B16" i="1"/>
  <c r="B33" i="1" s="1"/>
  <c r="B103" i="1" s="1"/>
  <c r="D91" i="1"/>
  <c r="D96" i="1" s="1"/>
  <c r="D103" i="1" l="1"/>
  <c r="B25" i="1"/>
  <c r="B105" i="1" s="1"/>
  <c r="D105" i="1"/>
  <c r="I105" i="1"/>
  <c r="E105" i="1"/>
</calcChain>
</file>

<file path=xl/sharedStrings.xml><?xml version="1.0" encoding="utf-8"?>
<sst xmlns="http://schemas.openxmlformats.org/spreadsheetml/2006/main" count="127" uniqueCount="119">
  <si>
    <t>Ramsey Hill Association</t>
  </si>
  <si>
    <t>2020 &amp; 2021 Budget</t>
  </si>
  <si>
    <t>As of 9/30/19</t>
  </si>
  <si>
    <t>Actual Through 9/30/19</t>
  </si>
  <si>
    <t>Rest of Year Forecast</t>
  </si>
  <si>
    <t>2019 Total</t>
  </si>
  <si>
    <t>2019 Budget</t>
  </si>
  <si>
    <t>Notes</t>
  </si>
  <si>
    <t>OPERATING INCOME</t>
  </si>
  <si>
    <t xml:space="preserve">   4000 Membership Income</t>
  </si>
  <si>
    <t xml:space="preserve">      4001 Membership Dues-Business</t>
  </si>
  <si>
    <t xml:space="preserve">      4002 Membership Dues-Individuals</t>
  </si>
  <si>
    <t xml:space="preserve">   Total 4000 Membership Income</t>
  </si>
  <si>
    <t xml:space="preserve">   4100 Donations</t>
  </si>
  <si>
    <t xml:space="preserve">      4101 Donations to General Fund</t>
  </si>
  <si>
    <t xml:space="preserve">      4102 Donations to Community Partners Fund</t>
  </si>
  <si>
    <t xml:space="preserve">      4103 Lookout Park Donations</t>
  </si>
  <si>
    <t xml:space="preserve">   Total 4100 Donations</t>
  </si>
  <si>
    <t>FUNDRAISING INCOME</t>
  </si>
  <si>
    <t xml:space="preserve">   4200 Fundraising Income</t>
  </si>
  <si>
    <t xml:space="preserve">      4201 House Tour Ticket Sales</t>
  </si>
  <si>
    <t xml:space="preserve">  4202 House Tour Sponsorship</t>
  </si>
  <si>
    <t>4203 Other Fundraisers</t>
  </si>
  <si>
    <t xml:space="preserve">   Total 4200 Fundraising Income</t>
  </si>
  <si>
    <t>TOTAL INCOME BEFORE ONE TIME</t>
  </si>
  <si>
    <t>ONE TIME INCOME</t>
  </si>
  <si>
    <t xml:space="preserve">   4300 Grant Income</t>
  </si>
  <si>
    <t xml:space="preserve">      4301 Film Grant Income</t>
  </si>
  <si>
    <t xml:space="preserve">   4400 Film Ticket Sales</t>
  </si>
  <si>
    <t>Total One Time Income</t>
  </si>
  <si>
    <t>Total Income</t>
  </si>
  <si>
    <t>Expenses</t>
  </si>
  <si>
    <t xml:space="preserve">   5000 Parks &amp; Gardens</t>
  </si>
  <si>
    <t xml:space="preserve">      5001 Plants, Planting, Water</t>
  </si>
  <si>
    <t xml:space="preserve">      5002 Lights</t>
  </si>
  <si>
    <t xml:space="preserve">Upped 2019 forecast to include sharing in cost for lighting tree in Boyd ($1500).  </t>
  </si>
  <si>
    <t xml:space="preserve">      5003 Luminaries, Misc</t>
  </si>
  <si>
    <t xml:space="preserve">      5004 Boyd Park Project</t>
  </si>
  <si>
    <t>Enhanced electric at Boyd for lighting</t>
  </si>
  <si>
    <t xml:space="preserve">      5005 Lookout Park</t>
  </si>
  <si>
    <t>2019 includes Bench expense which is covered by Lookout Park donations</t>
  </si>
  <si>
    <t xml:space="preserve">   Total 5000 Parks &amp; Gardens</t>
  </si>
  <si>
    <t xml:space="preserve">       5010 Community Outreach</t>
  </si>
  <si>
    <t xml:space="preserve">      5011 Community Events</t>
  </si>
  <si>
    <t>New community events/enhanced support of Hallie Q events</t>
  </si>
  <si>
    <t xml:space="preserve">   Total 5010 Community Outreach</t>
  </si>
  <si>
    <t xml:space="preserve">   5015 Social</t>
  </si>
  <si>
    <t xml:space="preserve">      5016 Progressive Dinner</t>
  </si>
  <si>
    <t xml:space="preserve">      5017 Holiday Open Houses</t>
  </si>
  <si>
    <t xml:space="preserve">      5018 Annual Meeting</t>
  </si>
  <si>
    <t xml:space="preserve">      5019 Social Other</t>
  </si>
  <si>
    <t xml:space="preserve">   Total 5015 Social</t>
  </si>
  <si>
    <t xml:space="preserve">   5025 Membership</t>
  </si>
  <si>
    <t>Budget increased to provide for welcome gift/basket for new homeowners in the neighborhood</t>
  </si>
  <si>
    <t xml:space="preserve">   5030 Crime &amp; Safety</t>
  </si>
  <si>
    <t xml:space="preserve">   5040 Fundraising Expense</t>
  </si>
  <si>
    <t xml:space="preserve">      5041 Fundraising Expense-PR</t>
  </si>
  <si>
    <t xml:space="preserve">      5042 Fundraising Expense Supplies/Other</t>
  </si>
  <si>
    <t>5043 Fundraising Expense Printing</t>
  </si>
  <si>
    <t>5044 Fundraising Expense Transport</t>
  </si>
  <si>
    <t>5045 Fundraising Expense Homeowners Event</t>
  </si>
  <si>
    <t>5046 Fundraising Expense Volunteer Event</t>
  </si>
  <si>
    <t xml:space="preserve">   Total 5040 Fundraising Expense</t>
  </si>
  <si>
    <t xml:space="preserve">   5050 Office Supplies &amp; Software</t>
  </si>
  <si>
    <t>Quickbooks</t>
  </si>
  <si>
    <t xml:space="preserve">      5051 Printing &amp; Mailing</t>
  </si>
  <si>
    <t xml:space="preserve">      5052 Website</t>
  </si>
  <si>
    <t>2019 budget included update work</t>
  </si>
  <si>
    <t xml:space="preserve">      5053 Wild Apricot, Domain etc</t>
  </si>
  <si>
    <t xml:space="preserve">   Total 5050 Office Supplies &amp; Software</t>
  </si>
  <si>
    <t xml:space="preserve">   5055 BOD Expense</t>
  </si>
  <si>
    <t xml:space="preserve">      5056 Awards and Other</t>
  </si>
  <si>
    <t xml:space="preserve">      5057 Committee Expenses</t>
  </si>
  <si>
    <t xml:space="preserve">   Total 5055 BOD Expense</t>
  </si>
  <si>
    <t xml:space="preserve">   5070 Insurance</t>
  </si>
  <si>
    <t>D&amp;O and General Liability policies</t>
  </si>
  <si>
    <t>5075 Accounting</t>
  </si>
  <si>
    <t xml:space="preserve">990 Prep </t>
  </si>
  <si>
    <t xml:space="preserve">   5080 Taxes &amp; Licenses</t>
  </si>
  <si>
    <t>Annual filing fees for 990</t>
  </si>
  <si>
    <t xml:space="preserve">   5090 Bank Charges &amp; Fees</t>
  </si>
  <si>
    <t>Interchange expense on credit card transactions.  More on House Tour years with more transactions</t>
  </si>
  <si>
    <t xml:space="preserve">   Other Business Expenses</t>
  </si>
  <si>
    <t>TOTAL OPERATING/PROGRAM EXPENSES</t>
  </si>
  <si>
    <t>ONE TIME EXPENSES</t>
  </si>
  <si>
    <t xml:space="preserve">   5058 Video History</t>
  </si>
  <si>
    <t xml:space="preserve">   5020 Film Expense</t>
  </si>
  <si>
    <t>Short video</t>
  </si>
  <si>
    <t xml:space="preserve">      5021 Film Event Expense</t>
  </si>
  <si>
    <t xml:space="preserve">      5022 Film Expense-Project Coordinator</t>
  </si>
  <si>
    <t xml:space="preserve">      5023 Film Production</t>
  </si>
  <si>
    <t xml:space="preserve">   Total ONE TIME EXPENSES</t>
  </si>
  <si>
    <t>Total Expenses</t>
  </si>
  <si>
    <t>Other Income</t>
  </si>
  <si>
    <t xml:space="preserve">   4500 Interest Earned</t>
  </si>
  <si>
    <t>Total Other Income</t>
  </si>
  <si>
    <t>Net Income</t>
  </si>
  <si>
    <t>Net Income Excluding One Time Items</t>
  </si>
  <si>
    <t>Monday, Sep 09, 2019 08:26:12 AM GMT-7 - Cash Basis</t>
  </si>
  <si>
    <t>Approved 2020 Budget</t>
  </si>
  <si>
    <t>Approved 2021 Budget</t>
  </si>
  <si>
    <t>TOTAL INCOME</t>
  </si>
  <si>
    <t>Membership Income</t>
  </si>
  <si>
    <t>Donations</t>
  </si>
  <si>
    <t>House Tour Ticket Sales</t>
  </si>
  <si>
    <t>House Tour Sponsorship</t>
  </si>
  <si>
    <t>Community Outreach</t>
  </si>
  <si>
    <t>Parks &amp; Gardens</t>
  </si>
  <si>
    <t>Social</t>
  </si>
  <si>
    <t>Membership</t>
  </si>
  <si>
    <t>Crime &amp; Safety</t>
  </si>
  <si>
    <t>Fundraising Expense</t>
  </si>
  <si>
    <t xml:space="preserve"> Office Supplies &amp; Software</t>
  </si>
  <si>
    <t>BOD Expense</t>
  </si>
  <si>
    <t>Insurance</t>
  </si>
  <si>
    <t>Accounting</t>
  </si>
  <si>
    <t>Taxes &amp; Licenses</t>
  </si>
  <si>
    <t>Bank Charges &amp; Fees</t>
  </si>
  <si>
    <t>Interest Earned on 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</si>
</sst>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3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4" fillId="0" borderId="0" xfId="1" applyNumberFormat="1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2" xfId="1" applyNumberFormat="1" applyFont="1" applyFill="1" applyBorder="1" applyAlignment="1">
      <alignment horizontal="center" wrapText="1"/>
    </xf>
    <xf numFmtId="0" fontId="0" fillId="0" borderId="3" xfId="1" applyNumberFormat="1" applyFont="1" applyFill="1" applyBorder="1" applyAlignment="1">
      <alignment wrapText="1"/>
    </xf>
    <xf numFmtId="164" fontId="0" fillId="0" borderId="0" xfId="1" applyNumberFormat="1" applyFont="1" applyFill="1" applyAlignment="1">
      <alignment horizontal="center" wrapText="1"/>
    </xf>
    <xf numFmtId="164" fontId="5" fillId="0" borderId="4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164" fontId="6" fillId="0" borderId="5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left" wrapText="1"/>
    </xf>
    <xf numFmtId="164" fontId="8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left" wrapText="1"/>
    </xf>
    <xf numFmtId="164" fontId="8" fillId="0" borderId="0" xfId="1" applyNumberFormat="1" applyFont="1" applyFill="1" applyAlignment="1">
      <alignment horizontal="right" wrapText="1"/>
    </xf>
    <xf numFmtId="164" fontId="0" fillId="0" borderId="5" xfId="1" applyNumberFormat="1" applyFont="1" applyFill="1" applyBorder="1"/>
    <xf numFmtId="164" fontId="7" fillId="0" borderId="6" xfId="1" applyNumberFormat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4" fontId="7" fillId="0" borderId="0" xfId="1" applyNumberFormat="1" applyFont="1" applyFill="1" applyAlignment="1">
      <alignment horizontal="left" wrapText="1" indent="1"/>
    </xf>
    <xf numFmtId="164" fontId="0" fillId="0" borderId="0" xfId="1" applyNumberFormat="1" applyFont="1" applyFill="1" applyBorder="1"/>
    <xf numFmtId="164" fontId="8" fillId="0" borderId="5" xfId="1" applyNumberFormat="1" applyFont="1" applyFill="1" applyBorder="1" applyAlignment="1">
      <alignment horizontal="right" wrapText="1"/>
    </xf>
    <xf numFmtId="164" fontId="8" fillId="0" borderId="5" xfId="1" applyNumberFormat="1" applyFont="1" applyFill="1" applyBorder="1" applyAlignment="1">
      <alignment wrapText="1"/>
    </xf>
    <xf numFmtId="164" fontId="7" fillId="0" borderId="0" xfId="1" applyNumberFormat="1" applyFont="1" applyFill="1" applyAlignment="1">
      <alignment horizontal="right" wrapText="1"/>
    </xf>
    <xf numFmtId="164" fontId="6" fillId="0" borderId="0" xfId="1" applyNumberFormat="1" applyFont="1" applyFill="1"/>
    <xf numFmtId="164" fontId="6" fillId="0" borderId="0" xfId="1" applyNumberFormat="1" applyFont="1" applyFill="1" applyAlignment="1">
      <alignment wrapText="1"/>
    </xf>
    <xf numFmtId="164" fontId="7" fillId="0" borderId="7" xfId="1" applyNumberFormat="1" applyFont="1" applyFill="1" applyBorder="1" applyAlignment="1">
      <alignment horizontal="right" wrapText="1"/>
    </xf>
    <xf numFmtId="164" fontId="0" fillId="0" borderId="7" xfId="1" applyNumberFormat="1" applyFont="1" applyFill="1" applyBorder="1"/>
    <xf numFmtId="164" fontId="8" fillId="0" borderId="0" xfId="1" applyNumberFormat="1" applyFont="1" applyFill="1" applyBorder="1" applyAlignment="1">
      <alignment horizontal="right" wrapText="1"/>
    </xf>
    <xf numFmtId="164" fontId="8" fillId="0" borderId="0" xfId="1" applyNumberFormat="1" applyFont="1" applyFill="1" applyAlignment="1">
      <alignment horizontal="center"/>
    </xf>
    <xf numFmtId="164" fontId="0" fillId="0" borderId="0" xfId="0" applyNumberFormat="1"/>
    <xf numFmtId="164" fontId="0" fillId="0" borderId="7" xfId="0" applyNumberFormat="1" applyBorder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CC1A-D403-4946-87C4-2D62B37CE46A}">
  <dimension ref="A1:K107"/>
  <sheetViews>
    <sheetView workbookViewId="0">
      <selection activeCell="A4" sqref="A1:I1048576"/>
    </sheetView>
  </sheetViews>
  <sheetFormatPr defaultRowHeight="14.5" x14ac:dyDescent="0.35"/>
  <cols>
    <col min="1" max="1" width="41.26953125" style="3" customWidth="1"/>
    <col min="2" max="5" width="15.453125" style="3" hidden="1" customWidth="1"/>
    <col min="6" max="6" width="4.08984375" style="3" hidden="1" customWidth="1"/>
    <col min="7" max="7" width="14.08984375" style="3" hidden="1" customWidth="1"/>
    <col min="8" max="8" width="2.6328125" style="3" hidden="1" customWidth="1"/>
    <col min="9" max="9" width="12.7265625" style="3" customWidth="1"/>
    <col min="10" max="10" width="2.6328125" style="3" customWidth="1"/>
    <col min="11" max="11" width="44.453125" style="4" customWidth="1"/>
    <col min="12" max="16384" width="8.7265625" style="3"/>
  </cols>
  <sheetData>
    <row r="1" spans="1:11" ht="18" x14ac:dyDescent="0.4">
      <c r="A1" s="1" t="s">
        <v>0</v>
      </c>
      <c r="B1" s="2"/>
      <c r="C1" s="2"/>
      <c r="D1" s="2"/>
      <c r="E1" s="2"/>
    </row>
    <row r="2" spans="1:11" ht="18" x14ac:dyDescent="0.4">
      <c r="A2" s="1" t="s">
        <v>1</v>
      </c>
      <c r="B2" s="2"/>
      <c r="C2" s="2"/>
      <c r="D2" s="2"/>
      <c r="E2" s="2"/>
    </row>
    <row r="3" spans="1:11" x14ac:dyDescent="0.35">
      <c r="A3" s="5" t="s">
        <v>2</v>
      </c>
      <c r="B3" s="2"/>
      <c r="C3" s="2"/>
      <c r="D3" s="2"/>
      <c r="E3" s="2"/>
    </row>
    <row r="4" spans="1:11" ht="15" thickBot="1" x14ac:dyDescent="0.4"/>
    <row r="5" spans="1:11" ht="15" thickBot="1" x14ac:dyDescent="0.4">
      <c r="A5" s="4"/>
      <c r="B5" s="6">
        <v>2019</v>
      </c>
      <c r="C5" s="7"/>
      <c r="D5" s="7"/>
      <c r="E5" s="8"/>
    </row>
    <row r="6" spans="1:11" s="11" customFormat="1" ht="24.5" thickBot="1" x14ac:dyDescent="0.4">
      <c r="A6" s="9"/>
      <c r="B6" s="10" t="s">
        <v>3</v>
      </c>
      <c r="C6" s="10" t="s">
        <v>4</v>
      </c>
      <c r="D6" s="10" t="s">
        <v>5</v>
      </c>
      <c r="E6" s="10" t="s">
        <v>6</v>
      </c>
      <c r="G6" s="10" t="s">
        <v>99</v>
      </c>
      <c r="I6" s="10" t="s">
        <v>100</v>
      </c>
      <c r="K6" s="12" t="s">
        <v>7</v>
      </c>
    </row>
    <row r="7" spans="1:11" ht="15" thickBot="1" x14ac:dyDescent="0.4">
      <c r="A7" s="13" t="s">
        <v>8</v>
      </c>
      <c r="B7" s="14"/>
      <c r="C7" s="14"/>
      <c r="D7" s="14"/>
      <c r="E7" s="14"/>
    </row>
    <row r="8" spans="1:11" x14ac:dyDescent="0.35">
      <c r="A8" s="15" t="s">
        <v>9</v>
      </c>
      <c r="B8" s="14"/>
      <c r="C8" s="14"/>
      <c r="D8" s="14"/>
      <c r="E8" s="14"/>
    </row>
    <row r="9" spans="1:11" x14ac:dyDescent="0.35">
      <c r="A9" s="15" t="s">
        <v>10</v>
      </c>
      <c r="B9" s="16">
        <f>600</f>
        <v>600</v>
      </c>
      <c r="C9" s="16">
        <v>0</v>
      </c>
      <c r="D9" s="16">
        <f>SUM(B9:C9)</f>
        <v>600</v>
      </c>
      <c r="E9" s="16">
        <f>SUM(B9:C9)</f>
        <v>600</v>
      </c>
      <c r="G9" s="3">
        <v>500</v>
      </c>
      <c r="I9" s="3">
        <v>500</v>
      </c>
    </row>
    <row r="10" spans="1:11" x14ac:dyDescent="0.35">
      <c r="A10" s="15" t="s">
        <v>11</v>
      </c>
      <c r="B10" s="16">
        <f>4710</f>
        <v>4710</v>
      </c>
      <c r="C10" s="16">
        <v>0</v>
      </c>
      <c r="D10" s="16">
        <f>SUM(B10:C10)</f>
        <v>4710</v>
      </c>
      <c r="E10" s="16">
        <f>6000</f>
        <v>6000</v>
      </c>
      <c r="G10" s="17">
        <v>5500</v>
      </c>
      <c r="I10" s="17">
        <v>5500</v>
      </c>
    </row>
    <row r="11" spans="1:11" x14ac:dyDescent="0.35">
      <c r="A11" s="15" t="s">
        <v>12</v>
      </c>
      <c r="B11" s="18">
        <f>((B8)+(B9))+(B10)</f>
        <v>5310</v>
      </c>
      <c r="C11" s="18">
        <f>((C8)+(C9))+(C10)</f>
        <v>0</v>
      </c>
      <c r="D11" s="18">
        <f>SUM(D9:D10)</f>
        <v>5310</v>
      </c>
      <c r="E11" s="18">
        <f>SUM(E9:E10)</f>
        <v>6600</v>
      </c>
      <c r="G11" s="3">
        <f>SUM(G9:G10)</f>
        <v>6000</v>
      </c>
      <c r="I11" s="3">
        <f>SUM(I9:I10)</f>
        <v>6000</v>
      </c>
    </row>
    <row r="12" spans="1:11" x14ac:dyDescent="0.35">
      <c r="A12" s="15" t="s">
        <v>13</v>
      </c>
      <c r="B12" s="14"/>
      <c r="C12" s="14"/>
      <c r="D12" s="14"/>
      <c r="E12" s="14"/>
    </row>
    <row r="13" spans="1:11" x14ac:dyDescent="0.35">
      <c r="A13" s="15" t="s">
        <v>14</v>
      </c>
      <c r="B13" s="16">
        <f>865</f>
        <v>865</v>
      </c>
      <c r="C13" s="16">
        <v>0</v>
      </c>
      <c r="D13" s="16">
        <f>SUM(B13:C13)</f>
        <v>865</v>
      </c>
      <c r="E13" s="16">
        <f>500</f>
        <v>500</v>
      </c>
      <c r="I13" s="3">
        <f>G13</f>
        <v>0</v>
      </c>
    </row>
    <row r="14" spans="1:11" x14ac:dyDescent="0.35">
      <c r="A14" s="15" t="s">
        <v>15</v>
      </c>
      <c r="B14" s="16">
        <f>5445</f>
        <v>5445</v>
      </c>
      <c r="C14" s="16">
        <v>0</v>
      </c>
      <c r="D14" s="16">
        <f>SUM(B14:C14)</f>
        <v>5445</v>
      </c>
      <c r="E14" s="16">
        <f>7500</f>
        <v>7500</v>
      </c>
      <c r="G14" s="3">
        <v>5000</v>
      </c>
      <c r="I14" s="3">
        <v>5000</v>
      </c>
    </row>
    <row r="15" spans="1:11" x14ac:dyDescent="0.35">
      <c r="A15" s="15" t="s">
        <v>16</v>
      </c>
      <c r="B15" s="16">
        <v>4771</v>
      </c>
      <c r="C15" s="16">
        <v>0</v>
      </c>
      <c r="D15" s="16">
        <f>SUM(B15:C15)</f>
        <v>4771</v>
      </c>
      <c r="E15" s="14"/>
      <c r="G15" s="17"/>
      <c r="I15" s="17"/>
    </row>
    <row r="16" spans="1:11" x14ac:dyDescent="0.35">
      <c r="A16" s="15" t="s">
        <v>17</v>
      </c>
      <c r="B16" s="18">
        <f>SUM(B13:B15)</f>
        <v>11081</v>
      </c>
      <c r="C16" s="18">
        <f>SUM(C13:C15)</f>
        <v>0</v>
      </c>
      <c r="D16" s="18">
        <f>SUM(D13:D15)</f>
        <v>11081</v>
      </c>
      <c r="E16" s="18">
        <f>SUM(E13:E15)</f>
        <v>8000</v>
      </c>
      <c r="G16" s="3">
        <f>SUM(G13:G15)</f>
        <v>5000</v>
      </c>
      <c r="I16" s="3">
        <f>SUM(I13:I15)</f>
        <v>5000</v>
      </c>
    </row>
    <row r="17" spans="1:11" ht="15" thickBot="1" x14ac:dyDescent="0.4">
      <c r="A17" s="15"/>
      <c r="B17" s="19"/>
      <c r="C17" s="19"/>
      <c r="D17" s="19"/>
      <c r="E17" s="19"/>
    </row>
    <row r="18" spans="1:11" ht="15" thickBot="1" x14ac:dyDescent="0.4">
      <c r="A18" s="13" t="s">
        <v>18</v>
      </c>
      <c r="B18" s="19"/>
      <c r="C18" s="19"/>
      <c r="D18" s="19"/>
      <c r="E18" s="19"/>
    </row>
    <row r="19" spans="1:11" x14ac:dyDescent="0.35">
      <c r="A19" s="15" t="s">
        <v>19</v>
      </c>
      <c r="B19" s="14"/>
      <c r="C19" s="14"/>
      <c r="D19" s="14"/>
      <c r="E19" s="14"/>
    </row>
    <row r="20" spans="1:11" x14ac:dyDescent="0.35">
      <c r="A20" s="15" t="s">
        <v>20</v>
      </c>
      <c r="B20" s="16">
        <v>22682</v>
      </c>
      <c r="C20" s="16">
        <v>2700</v>
      </c>
      <c r="D20" s="16">
        <f>SUM(B20:C20)</f>
        <v>25382</v>
      </c>
      <c r="E20" s="14"/>
      <c r="I20" s="3">
        <v>20000</v>
      </c>
    </row>
    <row r="21" spans="1:11" x14ac:dyDescent="0.35">
      <c r="A21" s="20" t="s">
        <v>21</v>
      </c>
      <c r="B21" s="16">
        <v>3000</v>
      </c>
      <c r="C21" s="16">
        <v>10500</v>
      </c>
      <c r="D21" s="16">
        <f>SUM(B21:C21)</f>
        <v>13500</v>
      </c>
      <c r="E21" s="14"/>
      <c r="G21" s="21"/>
      <c r="H21" s="21"/>
      <c r="I21" s="21">
        <v>15000</v>
      </c>
    </row>
    <row r="22" spans="1:11" x14ac:dyDescent="0.35">
      <c r="A22" s="20" t="s">
        <v>22</v>
      </c>
      <c r="B22" s="16">
        <v>0</v>
      </c>
      <c r="C22" s="16">
        <v>0</v>
      </c>
      <c r="D22" s="16">
        <f>SUM(B22:C22)</f>
        <v>0</v>
      </c>
      <c r="E22" s="14"/>
      <c r="G22" s="17"/>
      <c r="I22" s="17"/>
    </row>
    <row r="23" spans="1:11" x14ac:dyDescent="0.35">
      <c r="A23" s="15" t="s">
        <v>23</v>
      </c>
      <c r="B23" s="18">
        <f>SUM(B20:B22)</f>
        <v>25682</v>
      </c>
      <c r="C23" s="18">
        <f>SUM(C20:C22)</f>
        <v>13200</v>
      </c>
      <c r="D23" s="18">
        <f>SUM(D20:D22)</f>
        <v>38882</v>
      </c>
      <c r="E23" s="18">
        <f>SUM(E20:E22)</f>
        <v>0</v>
      </c>
      <c r="G23" s="3">
        <f>SUM(G20:G21)</f>
        <v>0</v>
      </c>
      <c r="I23" s="3">
        <f>SUM(I20:I21)</f>
        <v>35000</v>
      </c>
    </row>
    <row r="24" spans="1:11" ht="15" thickBot="1" x14ac:dyDescent="0.4">
      <c r="A24" s="15"/>
      <c r="B24" s="19"/>
      <c r="C24" s="19"/>
      <c r="D24" s="19"/>
      <c r="E24" s="19"/>
    </row>
    <row r="25" spans="1:11" ht="15" thickBot="1" x14ac:dyDescent="0.4">
      <c r="A25" s="13" t="s">
        <v>24</v>
      </c>
      <c r="B25" s="19">
        <f>B23+B16+B11</f>
        <v>42073</v>
      </c>
      <c r="C25" s="19">
        <f>C23+C16+C11</f>
        <v>13200</v>
      </c>
      <c r="D25" s="19">
        <f>D23+D16+D11</f>
        <v>55273</v>
      </c>
      <c r="E25" s="19">
        <f>E23+E16+E11</f>
        <v>14600</v>
      </c>
      <c r="G25" s="19">
        <f>G23+G16+G11</f>
        <v>11000</v>
      </c>
      <c r="I25" s="19">
        <f>I23+I16+I11</f>
        <v>46000</v>
      </c>
    </row>
    <row r="26" spans="1:11" x14ac:dyDescent="0.35">
      <c r="A26" s="15"/>
      <c r="B26" s="19"/>
      <c r="C26" s="19"/>
      <c r="D26" s="19"/>
      <c r="E26" s="19"/>
    </row>
    <row r="27" spans="1:11" ht="15" hidden="1" thickBot="1" x14ac:dyDescent="0.4">
      <c r="A27" s="13" t="s">
        <v>25</v>
      </c>
      <c r="B27" s="19"/>
      <c r="C27" s="19"/>
      <c r="D27" s="19"/>
      <c r="E27" s="19"/>
    </row>
    <row r="28" spans="1:11" hidden="1" x14ac:dyDescent="0.35">
      <c r="A28" s="15" t="s">
        <v>26</v>
      </c>
      <c r="B28" s="14"/>
      <c r="C28" s="14"/>
      <c r="D28" s="14"/>
      <c r="E28" s="14"/>
    </row>
    <row r="29" spans="1:11" hidden="1" x14ac:dyDescent="0.35">
      <c r="A29" s="15" t="s">
        <v>27</v>
      </c>
      <c r="B29" s="16">
        <f>34280</f>
        <v>34280</v>
      </c>
      <c r="C29" s="16">
        <v>0</v>
      </c>
      <c r="D29" s="16">
        <f>SUM(B29:C29)</f>
        <v>34280</v>
      </c>
      <c r="E29" s="14">
        <v>0</v>
      </c>
      <c r="G29" s="3">
        <v>0</v>
      </c>
      <c r="I29" s="3">
        <v>0</v>
      </c>
    </row>
    <row r="30" spans="1:11" hidden="1" x14ac:dyDescent="0.35">
      <c r="A30" s="15" t="s">
        <v>28</v>
      </c>
      <c r="B30" s="22">
        <f>14757</f>
        <v>14757</v>
      </c>
      <c r="C30" s="22">
        <v>0</v>
      </c>
      <c r="D30" s="22">
        <f>SUM(B30:C30)</f>
        <v>14757</v>
      </c>
      <c r="E30" s="23">
        <v>0</v>
      </c>
      <c r="G30" s="17">
        <v>0</v>
      </c>
      <c r="I30" s="17">
        <v>0</v>
      </c>
    </row>
    <row r="31" spans="1:11" s="25" customFormat="1" hidden="1" x14ac:dyDescent="0.35">
      <c r="A31" s="15" t="s">
        <v>29</v>
      </c>
      <c r="B31" s="24">
        <f>SUM(B29:B30)</f>
        <v>49037</v>
      </c>
      <c r="C31" s="24">
        <f>SUM(C29:C30)</f>
        <v>0</v>
      </c>
      <c r="D31" s="24">
        <f>SUM(D29:D30)</f>
        <v>49037</v>
      </c>
      <c r="E31" s="24">
        <f>SUM(E29:E30)</f>
        <v>0</v>
      </c>
      <c r="G31" s="24">
        <f>SUM(G29:G30)</f>
        <v>0</v>
      </c>
      <c r="H31" s="24"/>
      <c r="I31" s="25">
        <f>SUM(I29:I30)</f>
        <v>0</v>
      </c>
      <c r="K31" s="26"/>
    </row>
    <row r="32" spans="1:11" x14ac:dyDescent="0.35">
      <c r="A32" s="15"/>
      <c r="B32" s="16"/>
      <c r="C32" s="16"/>
      <c r="D32" s="16"/>
      <c r="E32" s="14"/>
    </row>
    <row r="33" spans="1:11" ht="15" thickBot="1" x14ac:dyDescent="0.4">
      <c r="A33" s="15" t="s">
        <v>30</v>
      </c>
      <c r="B33" s="27">
        <f>((((B11)+(B16))+(B23))+(B31))</f>
        <v>91110</v>
      </c>
      <c r="C33" s="27">
        <f t="shared" ref="C33:I33" si="0">((((C11)+(C16))+(C23))+(C31))</f>
        <v>13200</v>
      </c>
      <c r="D33" s="27">
        <f t="shared" si="0"/>
        <v>104310</v>
      </c>
      <c r="E33" s="27">
        <f t="shared" si="0"/>
        <v>14600</v>
      </c>
      <c r="F33" s="28"/>
      <c r="G33" s="27">
        <f t="shared" si="0"/>
        <v>11000</v>
      </c>
      <c r="H33" s="28"/>
      <c r="I33" s="27">
        <f t="shared" si="0"/>
        <v>46000</v>
      </c>
    </row>
    <row r="34" spans="1:11" ht="15" thickTop="1" x14ac:dyDescent="0.35">
      <c r="A34" s="15"/>
      <c r="B34" s="19"/>
      <c r="C34" s="19"/>
      <c r="D34" s="19"/>
      <c r="E34" s="19"/>
    </row>
    <row r="35" spans="1:11" x14ac:dyDescent="0.35">
      <c r="A35" s="15" t="s">
        <v>31</v>
      </c>
      <c r="B35" s="14"/>
      <c r="C35" s="14"/>
      <c r="D35" s="14"/>
      <c r="E35" s="14"/>
    </row>
    <row r="36" spans="1:11" x14ac:dyDescent="0.35">
      <c r="A36" s="15" t="s">
        <v>32</v>
      </c>
      <c r="B36" s="14"/>
      <c r="C36" s="14"/>
      <c r="D36" s="14">
        <f>B36+C36</f>
        <v>0</v>
      </c>
      <c r="E36" s="14"/>
    </row>
    <row r="37" spans="1:11" x14ac:dyDescent="0.35">
      <c r="A37" s="15" t="s">
        <v>33</v>
      </c>
      <c r="B37" s="16">
        <f>763.82</f>
        <v>763.82</v>
      </c>
      <c r="C37" s="16">
        <v>100</v>
      </c>
      <c r="D37" s="14">
        <f>B37+C37</f>
        <v>863.82</v>
      </c>
      <c r="E37" s="16">
        <f>900</f>
        <v>900</v>
      </c>
      <c r="G37" s="3">
        <v>1000</v>
      </c>
      <c r="I37" s="3">
        <v>1100</v>
      </c>
    </row>
    <row r="38" spans="1:11" ht="29" x14ac:dyDescent="0.35">
      <c r="A38" s="15" t="s">
        <v>34</v>
      </c>
      <c r="B38" s="16">
        <f>62.58</f>
        <v>62.58</v>
      </c>
      <c r="C38" s="16">
        <v>9000</v>
      </c>
      <c r="D38" s="14">
        <v>8500</v>
      </c>
      <c r="E38" s="16">
        <f>7000</f>
        <v>7000</v>
      </c>
      <c r="G38" s="3">
        <v>8500</v>
      </c>
      <c r="I38" s="3">
        <v>8500</v>
      </c>
      <c r="K38" s="4" t="s">
        <v>35</v>
      </c>
    </row>
    <row r="39" spans="1:11" x14ac:dyDescent="0.35">
      <c r="A39" s="15" t="s">
        <v>36</v>
      </c>
      <c r="B39" s="14"/>
      <c r="C39" s="14"/>
      <c r="D39" s="14">
        <f>B39+C39</f>
        <v>0</v>
      </c>
      <c r="E39" s="16">
        <f>100</f>
        <v>100</v>
      </c>
      <c r="G39" s="3">
        <v>0</v>
      </c>
      <c r="I39" s="3">
        <v>0</v>
      </c>
    </row>
    <row r="40" spans="1:11" x14ac:dyDescent="0.35">
      <c r="A40" s="15" t="s">
        <v>37</v>
      </c>
      <c r="B40" s="14"/>
      <c r="C40" s="14">
        <v>2000</v>
      </c>
      <c r="D40" s="14">
        <f>B40+C40</f>
        <v>2000</v>
      </c>
      <c r="E40" s="16">
        <f>7500</f>
        <v>7500</v>
      </c>
      <c r="G40" s="3">
        <v>0</v>
      </c>
      <c r="I40" s="3">
        <v>0</v>
      </c>
      <c r="K40" s="4" t="s">
        <v>38</v>
      </c>
    </row>
    <row r="41" spans="1:11" ht="29" x14ac:dyDescent="0.35">
      <c r="A41" s="15" t="s">
        <v>39</v>
      </c>
      <c r="B41" s="16">
        <f>3429.21</f>
        <v>3429.21</v>
      </c>
      <c r="C41" s="16"/>
      <c r="D41" s="14">
        <f>B41+C41</f>
        <v>3429.21</v>
      </c>
      <c r="E41" s="14"/>
      <c r="G41" s="3">
        <v>1600</v>
      </c>
      <c r="I41" s="3">
        <v>1700</v>
      </c>
      <c r="K41" s="4" t="s">
        <v>40</v>
      </c>
    </row>
    <row r="42" spans="1:11" x14ac:dyDescent="0.35">
      <c r="A42" s="15" t="s">
        <v>41</v>
      </c>
      <c r="B42" s="18">
        <f>SUM(B37:B41)</f>
        <v>4255.6100000000006</v>
      </c>
      <c r="C42" s="18">
        <f>SUM(C37:C41)</f>
        <v>11100</v>
      </c>
      <c r="D42" s="18">
        <f>SUM(D37:D41)</f>
        <v>14793.029999999999</v>
      </c>
      <c r="E42" s="18">
        <f>SUM(E37:E41)</f>
        <v>15500</v>
      </c>
      <c r="G42" s="18">
        <f>SUM(G37:G41)</f>
        <v>11100</v>
      </c>
      <c r="I42" s="18">
        <f>SUM(I37:I41)</f>
        <v>11300</v>
      </c>
    </row>
    <row r="43" spans="1:11" x14ac:dyDescent="0.35">
      <c r="A43" s="15"/>
      <c r="B43" s="19"/>
      <c r="C43" s="19"/>
      <c r="D43" s="19"/>
      <c r="E43" s="19"/>
    </row>
    <row r="44" spans="1:11" x14ac:dyDescent="0.35">
      <c r="A44" s="15" t="s">
        <v>42</v>
      </c>
      <c r="B44" s="16">
        <f>10005.39</f>
        <v>10005.39</v>
      </c>
      <c r="C44" s="16">
        <v>0</v>
      </c>
      <c r="D44" s="16">
        <f>SUM(B44:C44)</f>
        <v>10005.39</v>
      </c>
      <c r="E44" s="16">
        <f>8400</f>
        <v>8400</v>
      </c>
      <c r="G44" s="3">
        <v>20000</v>
      </c>
      <c r="I44" s="3">
        <v>20000</v>
      </c>
    </row>
    <row r="45" spans="1:11" ht="29" x14ac:dyDescent="0.35">
      <c r="A45" s="15" t="s">
        <v>43</v>
      </c>
      <c r="B45" s="16">
        <f>95.49</f>
        <v>95.49</v>
      </c>
      <c r="C45" s="16"/>
      <c r="D45" s="16">
        <f>SUM(B45:C45)</f>
        <v>95.49</v>
      </c>
      <c r="E45" s="14"/>
      <c r="G45" s="3">
        <v>1500</v>
      </c>
      <c r="I45" s="3">
        <v>1500</v>
      </c>
      <c r="K45" s="4" t="s">
        <v>44</v>
      </c>
    </row>
    <row r="46" spans="1:11" x14ac:dyDescent="0.35">
      <c r="A46" s="15" t="s">
        <v>45</v>
      </c>
      <c r="B46" s="18">
        <f>(B44)+(B45)</f>
        <v>10100.879999999999</v>
      </c>
      <c r="C46" s="18">
        <f>SUM(C44:C45)</f>
        <v>0</v>
      </c>
      <c r="D46" s="18">
        <f>SUM(D44:D45)</f>
        <v>10100.879999999999</v>
      </c>
      <c r="E46" s="18">
        <f>(E44)+(E45)</f>
        <v>8400</v>
      </c>
      <c r="G46" s="18">
        <f>(G44)+(G45)</f>
        <v>21500</v>
      </c>
      <c r="I46" s="18">
        <f>(I44)+(I45)</f>
        <v>21500</v>
      </c>
    </row>
    <row r="47" spans="1:11" x14ac:dyDescent="0.35">
      <c r="A47" s="15"/>
      <c r="B47" s="19"/>
      <c r="C47" s="19"/>
      <c r="D47" s="19"/>
      <c r="E47" s="19"/>
    </row>
    <row r="48" spans="1:11" x14ac:dyDescent="0.35">
      <c r="A48" s="15" t="s">
        <v>46</v>
      </c>
      <c r="B48" s="14"/>
      <c r="C48" s="14"/>
      <c r="D48" s="14"/>
      <c r="E48" s="14"/>
    </row>
    <row r="49" spans="1:11" x14ac:dyDescent="0.35">
      <c r="A49" s="15" t="s">
        <v>47</v>
      </c>
      <c r="B49" s="16">
        <f>101.19</f>
        <v>101.19</v>
      </c>
      <c r="C49" s="16"/>
      <c r="D49" s="16">
        <f>SUM(B49:C49)</f>
        <v>101.19</v>
      </c>
      <c r="E49" s="16">
        <f>500</f>
        <v>500</v>
      </c>
      <c r="G49" s="3">
        <v>500</v>
      </c>
      <c r="I49" s="3">
        <v>500</v>
      </c>
    </row>
    <row r="50" spans="1:11" x14ac:dyDescent="0.35">
      <c r="A50" s="15" t="s">
        <v>48</v>
      </c>
      <c r="B50" s="14"/>
      <c r="C50" s="14">
        <v>700</v>
      </c>
      <c r="D50" s="16">
        <f>SUM(B50:C50)</f>
        <v>700</v>
      </c>
      <c r="E50" s="16">
        <f>500</f>
        <v>500</v>
      </c>
      <c r="G50" s="3">
        <v>500</v>
      </c>
      <c r="I50" s="3">
        <v>500</v>
      </c>
    </row>
    <row r="51" spans="1:11" x14ac:dyDescent="0.35">
      <c r="A51" s="15" t="s">
        <v>49</v>
      </c>
      <c r="B51" s="14"/>
      <c r="C51" s="14">
        <v>2000</v>
      </c>
      <c r="D51" s="16">
        <f>SUM(B51:C51)</f>
        <v>2000</v>
      </c>
      <c r="E51" s="16">
        <f>1300</f>
        <v>1300</v>
      </c>
      <c r="G51" s="3">
        <v>2000</v>
      </c>
      <c r="I51" s="3">
        <v>2000</v>
      </c>
    </row>
    <row r="52" spans="1:11" x14ac:dyDescent="0.35">
      <c r="A52" s="15" t="s">
        <v>50</v>
      </c>
      <c r="B52" s="14"/>
      <c r="C52" s="14"/>
      <c r="D52" s="16">
        <f>SUM(B52:C52)</f>
        <v>0</v>
      </c>
      <c r="E52" s="16">
        <f>500</f>
        <v>500</v>
      </c>
      <c r="G52" s="3">
        <v>1000</v>
      </c>
      <c r="I52" s="3">
        <v>1000</v>
      </c>
    </row>
    <row r="53" spans="1:11" x14ac:dyDescent="0.35">
      <c r="A53" s="15" t="s">
        <v>51</v>
      </c>
      <c r="B53" s="18">
        <f>SUM(B49:B52)</f>
        <v>101.19</v>
      </c>
      <c r="C53" s="18">
        <f>SUM(C49:C52)</f>
        <v>2700</v>
      </c>
      <c r="D53" s="18">
        <f>SUM(D49:D52)</f>
        <v>2801.19</v>
      </c>
      <c r="E53" s="18">
        <f>SUM(E49:E52)</f>
        <v>2800</v>
      </c>
      <c r="G53" s="18">
        <f>SUM(G49:G52)</f>
        <v>4000</v>
      </c>
      <c r="I53" s="18">
        <f>SUM(I49:I52)</f>
        <v>4000</v>
      </c>
    </row>
    <row r="54" spans="1:11" x14ac:dyDescent="0.35">
      <c r="A54" s="15"/>
      <c r="B54" s="19"/>
      <c r="C54" s="19"/>
      <c r="D54" s="19"/>
      <c r="E54" s="19"/>
    </row>
    <row r="55" spans="1:11" ht="43.5" x14ac:dyDescent="0.35">
      <c r="A55" s="15" t="s">
        <v>52</v>
      </c>
      <c r="B55" s="16">
        <f>190</f>
        <v>190</v>
      </c>
      <c r="C55" s="16"/>
      <c r="D55" s="16">
        <f>SUM(B55:C55)</f>
        <v>190</v>
      </c>
      <c r="E55" s="16">
        <f>750</f>
        <v>750</v>
      </c>
      <c r="G55" s="3">
        <v>2000</v>
      </c>
      <c r="I55" s="3">
        <v>2000</v>
      </c>
      <c r="K55" s="4" t="s">
        <v>53</v>
      </c>
    </row>
    <row r="56" spans="1:11" x14ac:dyDescent="0.35">
      <c r="A56" s="15"/>
      <c r="B56" s="16"/>
      <c r="C56" s="16"/>
      <c r="D56" s="16"/>
      <c r="E56" s="16"/>
    </row>
    <row r="57" spans="1:11" x14ac:dyDescent="0.35">
      <c r="A57" s="15" t="s">
        <v>54</v>
      </c>
      <c r="B57" s="14">
        <v>0</v>
      </c>
      <c r="C57" s="14">
        <v>0</v>
      </c>
      <c r="D57" s="16">
        <f>SUM(B57:C57)</f>
        <v>0</v>
      </c>
      <c r="E57" s="16">
        <f>1000</f>
        <v>1000</v>
      </c>
      <c r="G57" s="3">
        <v>1000</v>
      </c>
      <c r="I57" s="3">
        <v>1000</v>
      </c>
    </row>
    <row r="58" spans="1:11" x14ac:dyDescent="0.35">
      <c r="A58" s="15"/>
      <c r="B58" s="14"/>
      <c r="C58" s="14"/>
      <c r="D58" s="14"/>
      <c r="E58" s="16"/>
    </row>
    <row r="59" spans="1:11" x14ac:dyDescent="0.35">
      <c r="A59" s="15" t="s">
        <v>55</v>
      </c>
      <c r="B59" s="14"/>
      <c r="D59" s="14">
        <f>SUM(B59:C59)</f>
        <v>0</v>
      </c>
      <c r="E59" s="16">
        <f>1000</f>
        <v>1000</v>
      </c>
      <c r="G59" s="3">
        <v>1000</v>
      </c>
      <c r="I59" s="3">
        <v>6000</v>
      </c>
    </row>
    <row r="60" spans="1:11" x14ac:dyDescent="0.35">
      <c r="A60" s="15" t="s">
        <v>56</v>
      </c>
      <c r="B60" s="16">
        <v>2523</v>
      </c>
      <c r="C60" s="16"/>
      <c r="D60" s="29">
        <f>SUM(B60:C60)</f>
        <v>2523</v>
      </c>
      <c r="E60" s="14"/>
    </row>
    <row r="61" spans="1:11" x14ac:dyDescent="0.35">
      <c r="A61" s="15" t="s">
        <v>57</v>
      </c>
      <c r="B61" s="16">
        <f>585.8</f>
        <v>585.79999999999995</v>
      </c>
      <c r="C61" s="14"/>
      <c r="D61" s="29">
        <f>SUM(B61:C61)</f>
        <v>585.79999999999995</v>
      </c>
      <c r="E61" s="14"/>
      <c r="G61" s="21"/>
      <c r="H61" s="21"/>
      <c r="I61" s="21"/>
    </row>
    <row r="62" spans="1:11" x14ac:dyDescent="0.35">
      <c r="A62" s="15" t="s">
        <v>58</v>
      </c>
      <c r="B62" s="16">
        <v>1431</v>
      </c>
      <c r="C62" s="14"/>
      <c r="D62" s="29">
        <f t="shared" ref="D62:D65" si="1">SUM(B62:C62)</f>
        <v>1431</v>
      </c>
      <c r="E62" s="14"/>
      <c r="G62" s="21"/>
      <c r="H62" s="21"/>
      <c r="I62" s="21"/>
    </row>
    <row r="63" spans="1:11" x14ac:dyDescent="0.35">
      <c r="A63" s="15" t="s">
        <v>59</v>
      </c>
      <c r="B63" s="16">
        <v>400</v>
      </c>
      <c r="C63" s="14"/>
      <c r="D63" s="29">
        <f t="shared" si="1"/>
        <v>400</v>
      </c>
      <c r="E63" s="14"/>
      <c r="G63" s="21"/>
      <c r="I63" s="21"/>
    </row>
    <row r="64" spans="1:11" x14ac:dyDescent="0.35">
      <c r="A64" s="15" t="s">
        <v>60</v>
      </c>
      <c r="B64" s="16">
        <v>308</v>
      </c>
      <c r="C64" s="14"/>
      <c r="D64" s="29">
        <f t="shared" si="1"/>
        <v>308</v>
      </c>
      <c r="E64" s="14"/>
      <c r="G64" s="21"/>
      <c r="I64" s="21"/>
    </row>
    <row r="65" spans="1:11" x14ac:dyDescent="0.35">
      <c r="A65" s="15" t="s">
        <v>61</v>
      </c>
      <c r="B65" s="16">
        <v>193</v>
      </c>
      <c r="C65" s="14"/>
      <c r="D65" s="29">
        <f t="shared" si="1"/>
        <v>193</v>
      </c>
      <c r="E65" s="14"/>
      <c r="G65" s="21"/>
      <c r="I65" s="21"/>
    </row>
    <row r="66" spans="1:11" x14ac:dyDescent="0.35">
      <c r="A66" s="15" t="s">
        <v>62</v>
      </c>
      <c r="B66" s="18">
        <f>SUM(B59:B65)</f>
        <v>5440.8</v>
      </c>
      <c r="C66" s="18">
        <f t="shared" ref="C66" si="2">SUM(C60:C63)</f>
        <v>0</v>
      </c>
      <c r="D66" s="18">
        <f>SUM(D59:D65)</f>
        <v>5440.8</v>
      </c>
      <c r="E66" s="18">
        <f>SUM(E59:E65)</f>
        <v>1000</v>
      </c>
      <c r="G66" s="18">
        <f>SUM(G59:G65)</f>
        <v>1000</v>
      </c>
      <c r="I66" s="18">
        <f>SUM(I59:I65)</f>
        <v>6000</v>
      </c>
    </row>
    <row r="67" spans="1:11" x14ac:dyDescent="0.35">
      <c r="A67" s="15"/>
      <c r="B67" s="19"/>
      <c r="C67" s="19"/>
      <c r="D67" s="19"/>
      <c r="E67" s="19"/>
    </row>
    <row r="68" spans="1:11" x14ac:dyDescent="0.35">
      <c r="A68" s="15" t="s">
        <v>63</v>
      </c>
      <c r="B68" s="16">
        <f>400</f>
        <v>400</v>
      </c>
      <c r="C68" s="16">
        <v>120</v>
      </c>
      <c r="D68" s="16">
        <f>SUM(B68:C68)</f>
        <v>520</v>
      </c>
      <c r="E68" s="14"/>
      <c r="G68" s="3">
        <v>500</v>
      </c>
      <c r="I68" s="3">
        <v>500</v>
      </c>
      <c r="K68" s="4" t="s">
        <v>64</v>
      </c>
    </row>
    <row r="69" spans="1:11" x14ac:dyDescent="0.35">
      <c r="A69" s="15" t="s">
        <v>65</v>
      </c>
      <c r="B69" s="16">
        <v>485</v>
      </c>
      <c r="C69" s="16">
        <v>200</v>
      </c>
      <c r="D69" s="16">
        <f>SUM(B69:C69)</f>
        <v>685</v>
      </c>
      <c r="E69" s="16">
        <f>750</f>
        <v>750</v>
      </c>
      <c r="G69" s="3">
        <v>700</v>
      </c>
      <c r="I69" s="3">
        <v>700</v>
      </c>
    </row>
    <row r="70" spans="1:11" x14ac:dyDescent="0.35">
      <c r="A70" s="15" t="s">
        <v>66</v>
      </c>
      <c r="B70" s="14"/>
      <c r="C70" s="14"/>
      <c r="D70" s="16">
        <f>SUM(B70:C70)</f>
        <v>0</v>
      </c>
      <c r="E70" s="16">
        <f>1200</f>
        <v>1200</v>
      </c>
      <c r="G70" s="3">
        <v>0</v>
      </c>
      <c r="I70" s="3">
        <v>0</v>
      </c>
      <c r="K70" s="4" t="s">
        <v>67</v>
      </c>
    </row>
    <row r="71" spans="1:11" x14ac:dyDescent="0.35">
      <c r="A71" s="15" t="s">
        <v>68</v>
      </c>
      <c r="B71" s="16">
        <f>2278.24</f>
        <v>2278.2399999999998</v>
      </c>
      <c r="C71" s="16"/>
      <c r="D71" s="22">
        <f>SUM(B71:C71)</f>
        <v>2278.2399999999998</v>
      </c>
      <c r="E71" s="16">
        <f>2500</f>
        <v>2500</v>
      </c>
      <c r="G71" s="3">
        <v>2500</v>
      </c>
      <c r="I71" s="3">
        <v>2500</v>
      </c>
    </row>
    <row r="72" spans="1:11" x14ac:dyDescent="0.35">
      <c r="A72" s="15" t="s">
        <v>69</v>
      </c>
      <c r="B72" s="18">
        <f>SUM(B68:B71)</f>
        <v>3163.24</v>
      </c>
      <c r="C72" s="18"/>
      <c r="D72" s="18">
        <f>SUM(D68:D71)</f>
        <v>3483.24</v>
      </c>
      <c r="E72" s="18">
        <f>SUM(E68:E71)</f>
        <v>4450</v>
      </c>
      <c r="G72" s="18">
        <f>SUM(G68:G71)</f>
        <v>3700</v>
      </c>
      <c r="I72" s="18">
        <f>SUM(I68:I71)</f>
        <v>3700</v>
      </c>
    </row>
    <row r="73" spans="1:11" x14ac:dyDescent="0.35">
      <c r="A73" s="15"/>
      <c r="B73" s="19"/>
      <c r="C73" s="19"/>
      <c r="D73" s="19"/>
      <c r="E73" s="19"/>
    </row>
    <row r="74" spans="1:11" x14ac:dyDescent="0.35">
      <c r="A74" s="15" t="s">
        <v>70</v>
      </c>
      <c r="B74" s="14"/>
      <c r="C74" s="14"/>
      <c r="D74" s="14"/>
      <c r="E74" s="14"/>
    </row>
    <row r="75" spans="1:11" x14ac:dyDescent="0.35">
      <c r="A75" s="15" t="s">
        <v>71</v>
      </c>
      <c r="B75" s="14"/>
      <c r="C75" s="14">
        <v>500</v>
      </c>
      <c r="D75" s="16">
        <f>SUM(B75:C75)</f>
        <v>500</v>
      </c>
      <c r="E75" s="16">
        <f>325</f>
        <v>325</v>
      </c>
      <c r="G75" s="3">
        <v>500</v>
      </c>
      <c r="I75" s="3">
        <v>500</v>
      </c>
    </row>
    <row r="76" spans="1:11" x14ac:dyDescent="0.35">
      <c r="A76" s="15" t="s">
        <v>72</v>
      </c>
      <c r="B76" s="14"/>
      <c r="C76" s="14"/>
      <c r="D76" s="22">
        <f>SUM(B76:C76)</f>
        <v>0</v>
      </c>
      <c r="E76" s="16">
        <f>500</f>
        <v>500</v>
      </c>
      <c r="G76" s="17"/>
      <c r="I76" s="17"/>
    </row>
    <row r="77" spans="1:11" x14ac:dyDescent="0.35">
      <c r="A77" s="15" t="s">
        <v>73</v>
      </c>
      <c r="B77" s="18">
        <f>((B74)+(B75))+(B76)</f>
        <v>0</v>
      </c>
      <c r="C77" s="18"/>
      <c r="D77" s="16">
        <f>SUM(B77:C77)</f>
        <v>0</v>
      </c>
      <c r="E77" s="18">
        <f>((E74)+(E75))+(E76)</f>
        <v>825</v>
      </c>
      <c r="G77" s="3">
        <f>SUM(G75:G76)</f>
        <v>500</v>
      </c>
      <c r="I77" s="3">
        <f>SUM(I75:I76)</f>
        <v>500</v>
      </c>
    </row>
    <row r="78" spans="1:11" x14ac:dyDescent="0.35">
      <c r="A78" s="15"/>
      <c r="B78" s="19"/>
      <c r="C78" s="19"/>
      <c r="D78" s="19"/>
      <c r="E78" s="19"/>
    </row>
    <row r="79" spans="1:11" x14ac:dyDescent="0.35">
      <c r="A79" s="15" t="s">
        <v>74</v>
      </c>
      <c r="B79" s="16">
        <f>1396</f>
        <v>1396</v>
      </c>
      <c r="C79" s="16"/>
      <c r="D79" s="16">
        <f>SUM(B79:C79)</f>
        <v>1396</v>
      </c>
      <c r="E79" s="16">
        <f>1500</f>
        <v>1500</v>
      </c>
      <c r="G79" s="3">
        <v>1500</v>
      </c>
      <c r="I79" s="3">
        <v>1500</v>
      </c>
      <c r="K79" s="4" t="s">
        <v>75</v>
      </c>
    </row>
    <row r="80" spans="1:11" x14ac:dyDescent="0.35">
      <c r="A80" s="15"/>
      <c r="B80" s="16"/>
      <c r="C80" s="16"/>
      <c r="D80" s="16"/>
      <c r="E80" s="16"/>
    </row>
    <row r="81" spans="1:11" x14ac:dyDescent="0.35">
      <c r="A81" s="15" t="s">
        <v>76</v>
      </c>
      <c r="B81" s="16">
        <v>0</v>
      </c>
      <c r="C81" s="16">
        <v>0</v>
      </c>
      <c r="D81" s="16">
        <f>SUM(B81:C81)</f>
        <v>0</v>
      </c>
      <c r="E81" s="16">
        <v>0</v>
      </c>
      <c r="G81" s="3">
        <v>600</v>
      </c>
      <c r="I81" s="3">
        <v>600</v>
      </c>
      <c r="K81" s="4" t="s">
        <v>77</v>
      </c>
    </row>
    <row r="82" spans="1:11" x14ac:dyDescent="0.35">
      <c r="A82" s="15"/>
      <c r="B82" s="16"/>
      <c r="C82" s="16"/>
      <c r="D82" s="16"/>
      <c r="E82" s="16"/>
    </row>
    <row r="83" spans="1:11" x14ac:dyDescent="0.35">
      <c r="A83" s="15" t="s">
        <v>78</v>
      </c>
      <c r="B83" s="16">
        <f>75</f>
        <v>75</v>
      </c>
      <c r="C83" s="16">
        <v>0</v>
      </c>
      <c r="D83" s="16">
        <f>SUM(B83:C83)</f>
        <v>75</v>
      </c>
      <c r="E83" s="14">
        <v>0</v>
      </c>
      <c r="G83" s="3">
        <v>100</v>
      </c>
      <c r="I83" s="3">
        <v>100</v>
      </c>
      <c r="K83" s="4" t="s">
        <v>79</v>
      </c>
    </row>
    <row r="84" spans="1:11" x14ac:dyDescent="0.35">
      <c r="A84" s="15"/>
      <c r="B84" s="16"/>
      <c r="C84" s="16"/>
      <c r="D84" s="16"/>
      <c r="E84" s="14"/>
    </row>
    <row r="85" spans="1:11" ht="29" x14ac:dyDescent="0.35">
      <c r="A85" s="15" t="s">
        <v>80</v>
      </c>
      <c r="B85" s="16">
        <f>803.07</f>
        <v>803.07</v>
      </c>
      <c r="C85" s="16">
        <v>600</v>
      </c>
      <c r="D85" s="16">
        <f>SUM(B85:C85)</f>
        <v>1403.0700000000002</v>
      </c>
      <c r="E85" s="14">
        <v>0</v>
      </c>
      <c r="G85" s="3">
        <v>500</v>
      </c>
      <c r="I85" s="3">
        <v>1500</v>
      </c>
      <c r="K85" s="4" t="s">
        <v>81</v>
      </c>
    </row>
    <row r="86" spans="1:11" x14ac:dyDescent="0.35">
      <c r="A86" s="15"/>
      <c r="B86" s="16"/>
      <c r="C86" s="16"/>
      <c r="D86" s="16"/>
      <c r="E86" s="14"/>
    </row>
    <row r="87" spans="1:11" x14ac:dyDescent="0.35">
      <c r="A87" s="15" t="s">
        <v>82</v>
      </c>
      <c r="B87" s="16">
        <f>6</f>
        <v>6</v>
      </c>
      <c r="C87" s="16">
        <v>0</v>
      </c>
      <c r="D87" s="16">
        <f>SUM(B87:C87)</f>
        <v>6</v>
      </c>
      <c r="E87" s="14">
        <v>0</v>
      </c>
      <c r="G87" s="3">
        <v>0</v>
      </c>
      <c r="I87" s="3">
        <v>0</v>
      </c>
    </row>
    <row r="88" spans="1:11" s="25" customFormat="1" x14ac:dyDescent="0.35">
      <c r="A88" s="15" t="s">
        <v>83</v>
      </c>
      <c r="B88" s="24">
        <f>B87+B85+B83+B81+B79+B77+B72+B66+B57+B55+B53+B46+B42</f>
        <v>25531.79</v>
      </c>
      <c r="C88" s="24">
        <f>C87+C85+C83+C81+C79+C77+C72+C66+C57+C55+C53+C46+C42</f>
        <v>14400</v>
      </c>
      <c r="D88" s="24">
        <f>D87+D85+D83+D81+D79+D77+D72+D66+D57+D55+D53+D46+D42</f>
        <v>39689.21</v>
      </c>
      <c r="E88" s="24">
        <f>E87+E85+E83+E81+E79+E77+E72+E66+E57+E55+E53+E46+E42</f>
        <v>36225</v>
      </c>
      <c r="G88" s="24">
        <f>G87+G85+G83+G81+G79+G77+G72+G66+G57+G55+G53+G46+G42</f>
        <v>47500</v>
      </c>
      <c r="I88" s="24">
        <f>I87+I85+I83+I81+I79+I77+I72+I66+I57+I55+I53+I46+I42</f>
        <v>53700</v>
      </c>
      <c r="K88" s="26"/>
    </row>
    <row r="89" spans="1:11" x14ac:dyDescent="0.35">
      <c r="A89" s="15"/>
      <c r="B89" s="16"/>
      <c r="C89" s="16"/>
      <c r="D89" s="16"/>
      <c r="E89" s="14"/>
    </row>
    <row r="90" spans="1:11" x14ac:dyDescent="0.35">
      <c r="A90" s="15" t="s">
        <v>84</v>
      </c>
      <c r="B90" s="16"/>
      <c r="C90" s="16"/>
      <c r="D90" s="16"/>
      <c r="E90" s="14"/>
    </row>
    <row r="91" spans="1:11" x14ac:dyDescent="0.35">
      <c r="A91" s="15" t="s">
        <v>85</v>
      </c>
      <c r="B91" s="16">
        <f>750</f>
        <v>750</v>
      </c>
      <c r="C91" s="16"/>
      <c r="D91" s="16">
        <f>SUM(B91:C91)</f>
        <v>750</v>
      </c>
      <c r="E91" s="16">
        <f>5500</f>
        <v>5500</v>
      </c>
    </row>
    <row r="92" spans="1:11" x14ac:dyDescent="0.35">
      <c r="A92" s="15" t="s">
        <v>86</v>
      </c>
      <c r="B92" s="14"/>
      <c r="C92" s="14"/>
      <c r="D92" s="14"/>
      <c r="E92" s="14"/>
      <c r="G92" s="3">
        <v>1500</v>
      </c>
      <c r="K92" s="4" t="s">
        <v>87</v>
      </c>
    </row>
    <row r="93" spans="1:11" x14ac:dyDescent="0.35">
      <c r="A93" s="15" t="s">
        <v>88</v>
      </c>
      <c r="B93" s="16">
        <f>9892.01</f>
        <v>9892.01</v>
      </c>
      <c r="C93" s="16">
        <v>0</v>
      </c>
      <c r="D93" s="16">
        <f>SUM(B93:C93)</f>
        <v>9892.01</v>
      </c>
      <c r="E93" s="14"/>
      <c r="G93" s="3">
        <v>0</v>
      </c>
    </row>
    <row r="94" spans="1:11" x14ac:dyDescent="0.35">
      <c r="A94" s="15" t="s">
        <v>89</v>
      </c>
      <c r="B94" s="16">
        <f>1750</f>
        <v>1750</v>
      </c>
      <c r="C94" s="16">
        <v>0</v>
      </c>
      <c r="D94" s="16">
        <f>SUM(B94:C94)</f>
        <v>1750</v>
      </c>
      <c r="E94" s="14"/>
    </row>
    <row r="95" spans="1:11" x14ac:dyDescent="0.35">
      <c r="A95" s="15" t="s">
        <v>90</v>
      </c>
      <c r="B95" s="16">
        <f>49924.1</f>
        <v>49924.1</v>
      </c>
      <c r="C95" s="16">
        <v>0</v>
      </c>
      <c r="D95" s="16">
        <f>SUM(B95:C95)</f>
        <v>49924.1</v>
      </c>
      <c r="E95" s="14"/>
    </row>
    <row r="96" spans="1:11" x14ac:dyDescent="0.35">
      <c r="A96" s="15" t="s">
        <v>91</v>
      </c>
      <c r="B96" s="18">
        <f>SUM(B91:B95)</f>
        <v>62316.11</v>
      </c>
      <c r="C96" s="18">
        <f>SUM(C91:C95)</f>
        <v>0</v>
      </c>
      <c r="D96" s="18">
        <f>SUM(D91:D95)</f>
        <v>62316.11</v>
      </c>
      <c r="E96" s="18">
        <f>SUM(E91:E95)</f>
        <v>5500</v>
      </c>
      <c r="G96" s="18">
        <f>SUM(G91:G95)</f>
        <v>1500</v>
      </c>
      <c r="I96" s="18">
        <f>SUM(I91:I95)</f>
        <v>0</v>
      </c>
    </row>
    <row r="97" spans="1:9" x14ac:dyDescent="0.35">
      <c r="A97" s="15"/>
      <c r="B97" s="18"/>
      <c r="C97" s="18"/>
      <c r="D97" s="18"/>
      <c r="E97" s="18"/>
    </row>
    <row r="98" spans="1:9" ht="15" thickBot="1" x14ac:dyDescent="0.4">
      <c r="A98" s="15" t="s">
        <v>92</v>
      </c>
      <c r="B98" s="27">
        <f>B87+B85+B83+B81+B79+B77+B72+B66+B57+B55+B96+B53+B46+B42</f>
        <v>87847.900000000009</v>
      </c>
      <c r="C98" s="27">
        <f>C87+C85+C83+C81+C79+C77+C72+C66+C57+C55+C96+C53+C46+C42</f>
        <v>14400</v>
      </c>
      <c r="D98" s="27">
        <f>D87+D85+D83+D81+D79+D77+D72+D66+D57+D55+D96+D53+D46+D42</f>
        <v>102005.32</v>
      </c>
      <c r="E98" s="27">
        <f>E87+E85+E83+E81+E79+E77+E72+E66+E57+E55+E96+E53+E46+E42</f>
        <v>41725</v>
      </c>
      <c r="G98" s="27">
        <f>G87+G85+G83+G81+G79+G77+G72+G66+G57+G55+G96+G53+G46+G42</f>
        <v>49000</v>
      </c>
      <c r="I98" s="27">
        <f>I87+I85+I83+I81+I79+I77+I72+I66+I57+I55+I96+I53+I46+I42</f>
        <v>53700</v>
      </c>
    </row>
    <row r="99" spans="1:9" ht="15" thickTop="1" x14ac:dyDescent="0.35">
      <c r="A99" s="15"/>
      <c r="B99" s="19"/>
      <c r="C99" s="19"/>
      <c r="D99" s="19"/>
      <c r="E99" s="19"/>
      <c r="G99" s="19"/>
      <c r="I99" s="19"/>
    </row>
    <row r="100" spans="1:9" x14ac:dyDescent="0.35">
      <c r="A100" s="15" t="s">
        <v>93</v>
      </c>
      <c r="B100" s="14"/>
      <c r="C100" s="14"/>
      <c r="D100" s="14"/>
      <c r="E100" s="14"/>
    </row>
    <row r="101" spans="1:9" x14ac:dyDescent="0.35">
      <c r="A101" s="15" t="s">
        <v>94</v>
      </c>
      <c r="B101" s="16">
        <v>404</v>
      </c>
      <c r="C101" s="16">
        <v>100</v>
      </c>
      <c r="D101" s="16">
        <f>B101+C101</f>
        <v>504</v>
      </c>
      <c r="E101" s="14"/>
      <c r="G101" s="17">
        <v>300</v>
      </c>
      <c r="I101" s="17">
        <v>300</v>
      </c>
    </row>
    <row r="102" spans="1:9" x14ac:dyDescent="0.35">
      <c r="A102" s="15" t="s">
        <v>95</v>
      </c>
      <c r="B102" s="18">
        <f>B101</f>
        <v>404</v>
      </c>
      <c r="C102" s="18">
        <f>SUM(C101)</f>
        <v>100</v>
      </c>
      <c r="D102" s="18">
        <f>SUM(D101)</f>
        <v>504</v>
      </c>
      <c r="E102" s="18">
        <f>E101</f>
        <v>0</v>
      </c>
    </row>
    <row r="103" spans="1:9" x14ac:dyDescent="0.35">
      <c r="A103" s="15" t="s">
        <v>96</v>
      </c>
      <c r="B103" s="18">
        <f>B33-B98+B102</f>
        <v>3666.0999999999913</v>
      </c>
      <c r="C103" s="18">
        <f>C33-C98+C102</f>
        <v>-1100</v>
      </c>
      <c r="D103" s="18">
        <f>D33-D98+D102</f>
        <v>2808.679999999993</v>
      </c>
      <c r="E103" s="18">
        <f>E33-E98+E102</f>
        <v>-27125</v>
      </c>
      <c r="G103" s="18">
        <f>G33-G98+G101</f>
        <v>-37700</v>
      </c>
      <c r="I103" s="18">
        <f>I33-I98+I101</f>
        <v>-7400</v>
      </c>
    </row>
    <row r="104" spans="1:9" x14ac:dyDescent="0.35">
      <c r="A104" s="15"/>
      <c r="B104" s="14"/>
      <c r="C104" s="14"/>
      <c r="D104" s="14"/>
      <c r="E104" s="14"/>
    </row>
    <row r="105" spans="1:9" x14ac:dyDescent="0.35">
      <c r="A105" s="3" t="s">
        <v>97</v>
      </c>
      <c r="B105" s="3">
        <f>B25-B88+B101</f>
        <v>16945.21</v>
      </c>
      <c r="C105" s="3">
        <f>C25-C88+C101</f>
        <v>-1100</v>
      </c>
      <c r="D105" s="3">
        <f>D25-D88+D102</f>
        <v>16087.79</v>
      </c>
      <c r="E105" s="3">
        <f>E25-E88+E102</f>
        <v>-21625</v>
      </c>
      <c r="G105" s="3">
        <f>(G25-G88)+G101</f>
        <v>-36200</v>
      </c>
      <c r="I105" s="3">
        <f>I25-I88+I101</f>
        <v>-7400</v>
      </c>
    </row>
    <row r="107" spans="1:9" x14ac:dyDescent="0.35">
      <c r="A107" s="30" t="s">
        <v>98</v>
      </c>
      <c r="B107" s="2"/>
      <c r="C107" s="2"/>
      <c r="D107" s="2"/>
      <c r="E107" s="2"/>
    </row>
  </sheetData>
  <mergeCells count="5">
    <mergeCell ref="A1:E1"/>
    <mergeCell ref="A2:E2"/>
    <mergeCell ref="A3:E3"/>
    <mergeCell ref="B5:E5"/>
    <mergeCell ref="A107:E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41094-5407-4B5A-8C12-965B25D45543}">
  <dimension ref="A1:B36"/>
  <sheetViews>
    <sheetView tabSelected="1" topLeftCell="A16" workbookViewId="0">
      <selection activeCell="C34" sqref="C34"/>
    </sheetView>
  </sheetViews>
  <sheetFormatPr defaultRowHeight="14.5" x14ac:dyDescent="0.35"/>
  <cols>
    <col min="1" max="1" width="48.26953125" bestFit="1" customWidth="1"/>
    <col min="2" max="2" width="21.26953125" bestFit="1" customWidth="1"/>
  </cols>
  <sheetData>
    <row r="1" spans="1:2" x14ac:dyDescent="0.35">
      <c r="A1" s="33" t="s">
        <v>0</v>
      </c>
      <c r="B1" s="33"/>
    </row>
    <row r="2" spans="1:2" x14ac:dyDescent="0.35">
      <c r="A2" s="33"/>
      <c r="B2" s="33"/>
    </row>
    <row r="3" spans="1:2" x14ac:dyDescent="0.35">
      <c r="A3" s="33"/>
      <c r="B3" s="33"/>
    </row>
    <row r="4" spans="1:2" x14ac:dyDescent="0.35">
      <c r="A4" s="31"/>
      <c r="B4" s="31"/>
    </row>
    <row r="5" spans="1:2" x14ac:dyDescent="0.35">
      <c r="A5" s="31"/>
      <c r="B5" s="31"/>
    </row>
    <row r="6" spans="1:2" x14ac:dyDescent="0.35">
      <c r="A6" s="31"/>
      <c r="B6" s="31" t="s">
        <v>100</v>
      </c>
    </row>
    <row r="7" spans="1:2" x14ac:dyDescent="0.35">
      <c r="A7" s="31" t="s">
        <v>8</v>
      </c>
      <c r="B7" s="31"/>
    </row>
    <row r="8" spans="1:2" x14ac:dyDescent="0.35">
      <c r="A8" s="34" t="s">
        <v>102</v>
      </c>
      <c r="B8" s="31">
        <v>6000</v>
      </c>
    </row>
    <row r="9" spans="1:2" x14ac:dyDescent="0.35">
      <c r="A9" s="34" t="s">
        <v>103</v>
      </c>
      <c r="B9" s="31">
        <v>5000</v>
      </c>
    </row>
    <row r="10" spans="1:2" x14ac:dyDescent="0.35">
      <c r="A10" s="31"/>
      <c r="B10" s="31"/>
    </row>
    <row r="11" spans="1:2" x14ac:dyDescent="0.35">
      <c r="A11" s="31" t="s">
        <v>18</v>
      </c>
      <c r="B11" s="31"/>
    </row>
    <row r="12" spans="1:2" x14ac:dyDescent="0.35">
      <c r="A12" s="34" t="s">
        <v>104</v>
      </c>
      <c r="B12" s="31">
        <v>20000</v>
      </c>
    </row>
    <row r="13" spans="1:2" x14ac:dyDescent="0.35">
      <c r="A13" s="34" t="s">
        <v>105</v>
      </c>
      <c r="B13" s="31">
        <v>15000</v>
      </c>
    </row>
    <row r="14" spans="1:2" x14ac:dyDescent="0.35">
      <c r="A14" s="31"/>
      <c r="B14" s="31"/>
    </row>
    <row r="15" spans="1:2" ht="15" thickBot="1" x14ac:dyDescent="0.4">
      <c r="A15" s="31" t="s">
        <v>101</v>
      </c>
      <c r="B15" s="32">
        <v>46000</v>
      </c>
    </row>
    <row r="16" spans="1:2" ht="15" thickTop="1" x14ac:dyDescent="0.35">
      <c r="A16" s="31"/>
      <c r="B16" s="31"/>
    </row>
    <row r="17" spans="1:2" x14ac:dyDescent="0.35">
      <c r="A17" s="31" t="s">
        <v>31</v>
      </c>
      <c r="B17" s="31"/>
    </row>
    <row r="18" spans="1:2" x14ac:dyDescent="0.35">
      <c r="A18" s="31" t="s">
        <v>107</v>
      </c>
      <c r="B18" s="31">
        <v>11300</v>
      </c>
    </row>
    <row r="19" spans="1:2" x14ac:dyDescent="0.35">
      <c r="A19" s="31" t="s">
        <v>106</v>
      </c>
      <c r="B19" s="31">
        <v>21500</v>
      </c>
    </row>
    <row r="20" spans="1:2" x14ac:dyDescent="0.35">
      <c r="A20" s="31" t="s">
        <v>108</v>
      </c>
      <c r="B20" s="31">
        <v>4000</v>
      </c>
    </row>
    <row r="21" spans="1:2" x14ac:dyDescent="0.35">
      <c r="A21" s="31" t="s">
        <v>109</v>
      </c>
      <c r="B21" s="31">
        <v>2000</v>
      </c>
    </row>
    <row r="22" spans="1:2" x14ac:dyDescent="0.35">
      <c r="A22" s="31" t="s">
        <v>110</v>
      </c>
      <c r="B22" s="31">
        <v>1000</v>
      </c>
    </row>
    <row r="23" spans="1:2" x14ac:dyDescent="0.35">
      <c r="A23" s="31" t="s">
        <v>111</v>
      </c>
      <c r="B23" s="31">
        <v>6000</v>
      </c>
    </row>
    <row r="24" spans="1:2" x14ac:dyDescent="0.35">
      <c r="A24" s="31" t="s">
        <v>112</v>
      </c>
      <c r="B24" s="31">
        <v>3700</v>
      </c>
    </row>
    <row r="25" spans="1:2" x14ac:dyDescent="0.35">
      <c r="A25" s="31" t="s">
        <v>113</v>
      </c>
      <c r="B25" s="31">
        <v>500</v>
      </c>
    </row>
    <row r="26" spans="1:2" x14ac:dyDescent="0.35">
      <c r="A26" s="31" t="s">
        <v>114</v>
      </c>
      <c r="B26" s="31">
        <v>1500</v>
      </c>
    </row>
    <row r="27" spans="1:2" x14ac:dyDescent="0.35">
      <c r="A27" s="31" t="s">
        <v>115</v>
      </c>
      <c r="B27" s="31">
        <v>600</v>
      </c>
    </row>
    <row r="28" spans="1:2" x14ac:dyDescent="0.35">
      <c r="A28" s="31" t="s">
        <v>116</v>
      </c>
      <c r="B28" s="31">
        <v>100</v>
      </c>
    </row>
    <row r="29" spans="1:2" x14ac:dyDescent="0.35">
      <c r="A29" s="31" t="s">
        <v>117</v>
      </c>
      <c r="B29" s="31">
        <v>1500</v>
      </c>
    </row>
    <row r="30" spans="1:2" ht="15" thickBot="1" x14ac:dyDescent="0.4">
      <c r="A30" s="31" t="s">
        <v>83</v>
      </c>
      <c r="B30" s="32">
        <v>53700</v>
      </c>
    </row>
    <row r="31" spans="1:2" ht="15" thickTop="1" x14ac:dyDescent="0.35">
      <c r="A31" s="31"/>
      <c r="B31" s="31"/>
    </row>
    <row r="32" spans="1:2" x14ac:dyDescent="0.35">
      <c r="A32" s="31" t="s">
        <v>93</v>
      </c>
      <c r="B32" s="31"/>
    </row>
    <row r="33" spans="1:2" x14ac:dyDescent="0.35">
      <c r="A33" s="34" t="s">
        <v>118</v>
      </c>
      <c r="B33" s="31">
        <v>300</v>
      </c>
    </row>
    <row r="34" spans="1:2" x14ac:dyDescent="0.35">
      <c r="A34" s="34"/>
      <c r="B34" s="31"/>
    </row>
    <row r="35" spans="1:2" x14ac:dyDescent="0.35">
      <c r="A35" s="31" t="s">
        <v>96</v>
      </c>
      <c r="B35" s="31">
        <f>B15+B33-B30</f>
        <v>-7400</v>
      </c>
    </row>
    <row r="36" spans="1:2" x14ac:dyDescent="0.35">
      <c r="A36" s="31"/>
      <c r="B36" s="31"/>
    </row>
  </sheetData>
  <mergeCells count="1">
    <mergeCell ref="A1:B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Burgess</dc:creator>
  <cp:lastModifiedBy>Julia Burgess</cp:lastModifiedBy>
  <dcterms:created xsi:type="dcterms:W3CDTF">2020-10-11T14:55:45Z</dcterms:created>
  <dcterms:modified xsi:type="dcterms:W3CDTF">2020-10-11T15:04:47Z</dcterms:modified>
</cp:coreProperties>
</file>